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<sst xmlns="http://schemas.openxmlformats.org/spreadsheetml/2006/main" count="140" uniqueCount="96">
  <si>
    <t>Start Of This Year</t>
  </si>
  <si>
    <t>New To File Counts</t>
  </si>
  <si>
    <t>Beginning Inventory</t>
  </si>
  <si>
    <t>Total Demand</t>
  </si>
  <si>
    <t>Total Buyers</t>
  </si>
  <si>
    <t>Spend per Buyer</t>
  </si>
  <si>
    <t>Totals</t>
  </si>
  <si>
    <t>Two Channel Multichannel Forensics Template</t>
  </si>
  <si>
    <t>Step 1:  Enter the name of your first product, brand or channel.</t>
  </si>
  <si>
    <t>Step 2:  Enter the name of the second product, brand or channel.</t>
  </si>
  <si>
    <t>Both</t>
  </si>
  <si>
    <t>Step 3:  Enter the number of customers purchasing from only the first channel, last year.</t>
  </si>
  <si>
    <t>Step 4:  Enter the number of customers purchasing from only the second channel, last year.</t>
  </si>
  <si>
    <t>Step 5:  Enter the number of customers purchasing from both of your products, brands or channels last year.</t>
  </si>
  <si>
    <t>New-To-File Customer Data Entry</t>
  </si>
  <si>
    <t>Existing Customer Data Entry</t>
  </si>
  <si>
    <t>Step 30:  During year 1, how many customers will be new to only channel 1?</t>
  </si>
  <si>
    <t>Step 31:  During year 1, how many customers will be new to only channel 2?</t>
  </si>
  <si>
    <t>Step 32:  During year 1, how many customers will be new to both channel 1 and channel 2?</t>
  </si>
  <si>
    <t>Step 33:  During year 2, how many customers will be new to only channel 1?</t>
  </si>
  <si>
    <t>Step 34:  During year 2, how many customers will be new to only channel 2?</t>
  </si>
  <si>
    <t>Step 35:  During year 2, how many customers will be new to both channel 1 and channel 2?</t>
  </si>
  <si>
    <t>Step 36:  During year 3, how many customers will be new to only channel 1?</t>
  </si>
  <si>
    <t>Step 37:  During year 3, how many customers will be new to only channel 2?</t>
  </si>
  <si>
    <t>Step 38:  During year 3, how many customers will be new to both channel 1 and channel 2?</t>
  </si>
  <si>
    <t>Step 39:  During year 4, how many customers will be new to only channel 1?</t>
  </si>
  <si>
    <t>Step 40:  During year 4, how many customers will be new to only channel 2?</t>
  </si>
  <si>
    <t>Step 41:  During year 4, how many customers will be new to both channel 1 and channel 2?</t>
  </si>
  <si>
    <t>Step 42:  During year 5, how many customers will be new to only channel 1?</t>
  </si>
  <si>
    <t>Step 43:  During year 5, how many customers will be new to only channel 2?</t>
  </si>
  <si>
    <t>Step 44:  During year 5, how many customers will be new to both channel 1 and channel 2?</t>
  </si>
  <si>
    <t>Step 45:  If a new customers buys only from channel 1, how much will the customers spend in channel 1, on an annual basis?</t>
  </si>
  <si>
    <t>Step 46:  If a new customers buys only from channel 2, how much will the customers spend in channel 2, on an annual basis?</t>
  </si>
  <si>
    <t>Step 47:  If a new customers buys from both channels, how much will the customer spend in channel 1, on an annual basis?</t>
  </si>
  <si>
    <t>Step 48:  If a new customers buys from both channels, how much will the customer spend in channel 2, on an annual basis?</t>
  </si>
  <si>
    <t>--------------------</t>
  </si>
  <si>
    <t>C1</t>
  </si>
  <si>
    <t>C2</t>
  </si>
  <si>
    <t>C1 C2</t>
  </si>
  <si>
    <t>C1 Buyers</t>
  </si>
  <si>
    <t>C2 Buyers</t>
  </si>
  <si>
    <t>C1 C2 Buyers</t>
  </si>
  <si>
    <t>C1 Demand</t>
  </si>
  <si>
    <t>C2 Demand</t>
  </si>
  <si>
    <t>Year 1</t>
  </si>
  <si>
    <t>Year 2</t>
  </si>
  <si>
    <t>Year 3</t>
  </si>
  <si>
    <t>Year 4</t>
  </si>
  <si>
    <t>Year 5</t>
  </si>
  <si>
    <t>After Year 1</t>
  </si>
  <si>
    <t>After Year 2</t>
  </si>
  <si>
    <t>After Year 3</t>
  </si>
  <si>
    <t>After Year 4</t>
  </si>
  <si>
    <t>After Year 5</t>
  </si>
  <si>
    <t>Enter Data Below</t>
  </si>
  <si>
    <t>Repurchase Rate:</t>
  </si>
  <si>
    <t>Repurchase Index:</t>
  </si>
  <si>
    <t>Corporate</t>
  </si>
  <si>
    <t>Repurchase Mode:</t>
  </si>
  <si>
    <t>Migration Mode:</t>
  </si>
  <si>
    <t>Migration Probability Table</t>
  </si>
  <si>
    <t>Multichannel Score:</t>
  </si>
  <si>
    <t>A Score Of 25 Represents "Average"</t>
  </si>
  <si>
    <t>Step 49:  Channel 1:  Marketing Cost Per Twelve Month Buyer Per Year</t>
  </si>
  <si>
    <t>Step 50:  Channel 1:  Marketing Cost Per New Buyer Per Year</t>
  </si>
  <si>
    <t>Step 51:  Channel 1:  Profit Factor</t>
  </si>
  <si>
    <t>Step 52:  Channel 1:  Marketing Cost Per Twelve Month Buyer Per Year</t>
  </si>
  <si>
    <t>Step 53:  Channel 1:  Marketing Cost Per New Buyer Per Year</t>
  </si>
  <si>
    <t>Step 54:  Channel 1:  Profit Factor</t>
  </si>
  <si>
    <t>Step 6:  What percentage of the customers in K54 will repurchase in the next twelve months?</t>
  </si>
  <si>
    <t>Step 7:  What percentage of the customers in K55 will repurchase in the next twelve months?</t>
  </si>
  <si>
    <t>Step 8:  What percentage of the customers in K56 will repurchase in the next twelve months?</t>
  </si>
  <si>
    <t>Step 9:  Of the customers in K58, what percentage buy from channel 1 in the next twelve months?</t>
  </si>
  <si>
    <t>Step 10:  Of the customers in K58, what percentage buy from channel 2 in the next twelve months?</t>
  </si>
  <si>
    <t>Step 11:  This is a calculation:  100% - K62 - K63 … these are "multi-channel" customers in the next twelve months.</t>
  </si>
  <si>
    <t>Step 12:  Of the customers in K59, what percentage buy from channel 1 in the next twelve months?</t>
  </si>
  <si>
    <t>Step 13:  Of the customers in K59,  what percentage buy from channel 2 in the next twelve months?</t>
  </si>
  <si>
    <t>Step 14:  This is a calculation:  100% - K66 - K67 … these are "multi-channel" customers in the next twelve months.</t>
  </si>
  <si>
    <t>Step 15:  Of the customers in K60, what percentage buy from channel 1 in the next twelve months?</t>
  </si>
  <si>
    <t>Step 16:  Of the customers in K60,  what percentage buy from channel 2 in the next twelve months?</t>
  </si>
  <si>
    <t>Step 17:  This is a calculation:  100% - K70 - K71 … these are "multi-channel" customers in the next twelve months.</t>
  </si>
  <si>
    <t>Step 18:  For all customers in cell K58, how much do they spend in channel 1 in the next twelve months?</t>
  </si>
  <si>
    <t>Step 19:  For all customers in cell K59, how much do they spend in channel 2 in the next twelve months?</t>
  </si>
  <si>
    <t>Step 20:  For all customers in cell K60, how much do they spend in channel 1 in the next twelve months?</t>
  </si>
  <si>
    <t>Step 21:  For all customers in cell K60, how much do they spend in channel 2 in the next twelve months?</t>
  </si>
  <si>
    <t>Step 22:  For all customers in cell K62, how much do they spend in channel 1 in the next twelve months?</t>
  </si>
  <si>
    <t>Step 23:  For all customers in cell K63, how much do they spend in channel 2 in the next twelve months?</t>
  </si>
  <si>
    <t>Step 24:  For all customers in cell K64, how much do they spend in channel 1 in the next twelve months?</t>
  </si>
  <si>
    <t>Step 25:  For all customers in cell K64, how much do they spend in channel 2 in the next twelve months?</t>
  </si>
  <si>
    <t>Step 26:  For all customers in cell K66, how much do they spend in channel 1 in the next twelve months?</t>
  </si>
  <si>
    <t>Step 27:  For all customers in cell K67, how much do they spend in channel 2 in the next twelve months?</t>
  </si>
  <si>
    <t>Step 28:  For all customers in cell K68, how much do they spend in channel 1 in the next twelve months?</t>
  </si>
  <si>
    <t>Step 29:  For all customers in cell K68, how much do they spend in channel 2 in the next twelve months?</t>
  </si>
  <si>
    <t>Variable Profit</t>
  </si>
  <si>
    <t>Telephone</t>
  </si>
  <si>
    <t>Online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</si>
</sst>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&quot;$&quot;#,##0.0_);[Red]\(&quot;$&quot;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i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7030A0"/>
      <name val="Calibri"/>
      <family val="2"/>
    </font>
    <font>
      <b/>
      <sz val="11"/>
      <color theme="9" tint="-0.24997000396251678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 wrapText="1"/>
    </xf>
    <xf numFmtId="38" fontId="0" fillId="0" borderId="0" xfId="0" applyNumberFormat="1" applyAlignment="1" quotePrefix="1">
      <alignment/>
    </xf>
    <xf numFmtId="0" fontId="45" fillId="0" borderId="0" xfId="0" applyFont="1" applyAlignment="1">
      <alignment horizontal="right"/>
    </xf>
    <xf numFmtId="38" fontId="46" fillId="0" borderId="0" xfId="0" applyNumberFormat="1" applyFont="1" applyAlignment="1">
      <alignment/>
    </xf>
    <xf numFmtId="0" fontId="46" fillId="0" borderId="0" xfId="0" applyFont="1" applyAlignment="1">
      <alignment/>
    </xf>
    <xf numFmtId="6" fontId="46" fillId="0" borderId="0" xfId="0" applyNumberFormat="1" applyFont="1" applyAlignment="1">
      <alignment/>
    </xf>
    <xf numFmtId="8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3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8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right"/>
    </xf>
    <xf numFmtId="6" fontId="4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0" fillId="0" borderId="0" xfId="0" applyNumberFormat="1" applyFont="1" applyAlignment="1">
      <alignment/>
    </xf>
    <xf numFmtId="164" fontId="5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5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8515625" style="0" customWidth="1"/>
    <col min="2" max="7" width="13.7109375" style="0" customWidth="1"/>
    <col min="8" max="26" width="12.7109375" style="0" customWidth="1"/>
    <col min="27" max="31" width="15.7109375" style="0" customWidth="1"/>
  </cols>
  <sheetData>
    <row r="1" ht="18.75">
      <c r="A1" s="2" t="s">
        <v>7</v>
      </c>
    </row>
    <row r="4" spans="1:31" ht="30">
      <c r="A4" s="5"/>
      <c r="B4" s="6" t="s">
        <v>2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I4" s="1" t="s">
        <v>60</v>
      </c>
      <c r="L4" s="19" t="str">
        <f>A6</f>
        <v>Telephone</v>
      </c>
      <c r="M4" s="19" t="str">
        <f>A7</f>
        <v>Online</v>
      </c>
      <c r="N4" s="19" t="s">
        <v>57</v>
      </c>
      <c r="AA4" s="8" t="s">
        <v>44</v>
      </c>
      <c r="AB4" s="8" t="s">
        <v>45</v>
      </c>
      <c r="AC4" s="8" t="s">
        <v>46</v>
      </c>
      <c r="AD4" s="8" t="s">
        <v>47</v>
      </c>
      <c r="AE4" s="8" t="s">
        <v>48</v>
      </c>
    </row>
    <row r="5" spans="1:13" ht="15">
      <c r="A5" s="5" t="s">
        <v>0</v>
      </c>
      <c r="L5" s="19"/>
      <c r="M5" s="19"/>
    </row>
    <row r="6" spans="1:36" ht="15">
      <c r="A6" s="1" t="str">
        <f>K51</f>
        <v>Telephone</v>
      </c>
      <c r="B6" s="9">
        <f>K54</f>
        <v>34000</v>
      </c>
      <c r="C6" s="9">
        <f aca="true" t="shared" si="0" ref="C6:G8">AA44</f>
        <v>27852.5</v>
      </c>
      <c r="D6" s="9">
        <f t="shared" si="0"/>
        <v>26317.331250000003</v>
      </c>
      <c r="E6" s="9">
        <f t="shared" si="0"/>
        <v>25819.799390625</v>
      </c>
      <c r="F6" s="9">
        <f t="shared" si="0"/>
        <v>25637.745904882813</v>
      </c>
      <c r="G6" s="9">
        <f t="shared" si="0"/>
        <v>25566.265751323535</v>
      </c>
      <c r="I6" s="1" t="s">
        <v>55</v>
      </c>
      <c r="J6" s="1"/>
      <c r="K6" s="1" t="s">
        <v>57</v>
      </c>
      <c r="L6" s="22">
        <f>(AA6+AA8)/(B6+B8)</f>
        <v>0.5053191489361702</v>
      </c>
      <c r="M6" s="22">
        <f>(AA7+AA8)/(B7+B8)</f>
        <v>0.43457446808510636</v>
      </c>
      <c r="N6" s="22">
        <f>(AA6+AA7+AA8)/(B6+B7+B8)</f>
        <v>0.438671875</v>
      </c>
      <c r="AA6" s="3">
        <f>B6*$K$58</f>
        <v>15300</v>
      </c>
      <c r="AB6" s="3">
        <f>C6*$K$58</f>
        <v>12533.625</v>
      </c>
      <c r="AC6" s="3">
        <f>D6*$K$58</f>
        <v>11842.799062500002</v>
      </c>
      <c r="AD6" s="3">
        <f>E6*$K$58</f>
        <v>11618.90972578125</v>
      </c>
      <c r="AE6" s="3">
        <f>F6*$K$58</f>
        <v>11536.985657197267</v>
      </c>
      <c r="AI6" s="21">
        <f aca="true" t="shared" si="1" ref="AI6:AJ8">L6</f>
        <v>0.5053191489361702</v>
      </c>
      <c r="AJ6" s="21">
        <f t="shared" si="1"/>
        <v>0.43457446808510636</v>
      </c>
    </row>
    <row r="7" spans="1:36" ht="15">
      <c r="A7" s="1" t="str">
        <f>K52</f>
        <v>Online</v>
      </c>
      <c r="B7" s="9">
        <f>K55</f>
        <v>81000</v>
      </c>
      <c r="C7" s="9">
        <f t="shared" si="0"/>
        <v>77505</v>
      </c>
      <c r="D7" s="9">
        <f t="shared" si="0"/>
        <v>74422.8125</v>
      </c>
      <c r="E7" s="9">
        <f t="shared" si="0"/>
        <v>72717.77915625</v>
      </c>
      <c r="F7" s="9">
        <f t="shared" si="0"/>
        <v>71897.61724945312</v>
      </c>
      <c r="G7" s="9">
        <f t="shared" si="0"/>
        <v>71524.97475959317</v>
      </c>
      <c r="I7" s="1"/>
      <c r="J7" s="1"/>
      <c r="K7" s="1" t="str">
        <f>A6</f>
        <v>Telephone</v>
      </c>
      <c r="L7" s="23">
        <f>(AA9+AA11+AA15+AA17)/(B6+B8)</f>
        <v>0.2852127659574468</v>
      </c>
      <c r="M7" s="22">
        <f>(AA12+AA14+AA15+AA17)/(B7+B8)</f>
        <v>0.07941489361702125</v>
      </c>
      <c r="AA7" s="3">
        <f>B7*$K$59</f>
        <v>32400</v>
      </c>
      <c r="AB7" s="3">
        <f>C7*$K$59</f>
        <v>31002</v>
      </c>
      <c r="AC7" s="3">
        <f>D7*$K$59</f>
        <v>29769.125</v>
      </c>
      <c r="AD7" s="3">
        <f>E7*$K$59</f>
        <v>29087.111662500003</v>
      </c>
      <c r="AE7" s="3">
        <f>F7*$K$59</f>
        <v>28759.04689978125</v>
      </c>
      <c r="AI7" s="21">
        <f t="shared" si="1"/>
        <v>0.2852127659574468</v>
      </c>
      <c r="AJ7" s="21">
        <f t="shared" si="1"/>
        <v>0.07941489361702125</v>
      </c>
    </row>
    <row r="8" spans="1:36" ht="15">
      <c r="A8" s="1" t="s">
        <v>10</v>
      </c>
      <c r="B8" s="9">
        <f>K56</f>
        <v>13000</v>
      </c>
      <c r="C8" s="9">
        <f t="shared" si="0"/>
        <v>10792.499999999996</v>
      </c>
      <c r="D8" s="9">
        <f t="shared" si="0"/>
        <v>9810.606249999997</v>
      </c>
      <c r="E8" s="9">
        <f t="shared" si="0"/>
        <v>9451.239578124998</v>
      </c>
      <c r="F8" s="9">
        <f t="shared" si="0"/>
        <v>9313.96395972656</v>
      </c>
      <c r="G8" s="9">
        <f t="shared" si="0"/>
        <v>9258.868619884079</v>
      </c>
      <c r="I8" s="1"/>
      <c r="J8" s="1"/>
      <c r="K8" s="1" t="str">
        <f>A7</f>
        <v>Online</v>
      </c>
      <c r="L8" s="22">
        <f>(AA10+AA11+AA16+AA17)/(B6+B8)</f>
        <v>0.3301595744680851</v>
      </c>
      <c r="M8" s="23">
        <f>(AA13+AA14+AA16+AA17)/(B7+B8)</f>
        <v>0.39486702127659573</v>
      </c>
      <c r="AA8" s="3">
        <f>B8*$K$60</f>
        <v>8450</v>
      </c>
      <c r="AB8" s="3">
        <f>C8*$K$60</f>
        <v>7015.124999999998</v>
      </c>
      <c r="AC8" s="3">
        <f>D8*$K$60</f>
        <v>6376.894062499999</v>
      </c>
      <c r="AD8" s="3">
        <f>E8*$K$60</f>
        <v>6143.305725781249</v>
      </c>
      <c r="AE8" s="3">
        <f>F8*$K$60</f>
        <v>6054.0765738222635</v>
      </c>
      <c r="AI8" s="21">
        <f t="shared" si="1"/>
        <v>0.3301595744680851</v>
      </c>
      <c r="AJ8" s="21">
        <f t="shared" si="1"/>
        <v>0.39486702127659573</v>
      </c>
    </row>
    <row r="9" spans="1:31" ht="15">
      <c r="A9" s="5"/>
      <c r="B9" s="9"/>
      <c r="C9" s="9"/>
      <c r="D9" s="9"/>
      <c r="E9" s="9"/>
      <c r="F9" s="9"/>
      <c r="G9" s="9"/>
      <c r="I9" s="1"/>
      <c r="J9" s="1"/>
      <c r="K9" s="1"/>
      <c r="L9" s="22"/>
      <c r="M9" s="22"/>
      <c r="Z9" t="s">
        <v>36</v>
      </c>
      <c r="AA9" s="3">
        <f>AA6*$K$62</f>
        <v>6120</v>
      </c>
      <c r="AB9" s="3">
        <f>AB6*$K$62</f>
        <v>5013.450000000001</v>
      </c>
      <c r="AC9" s="3">
        <f>AC6*$K$62</f>
        <v>4737.119625000001</v>
      </c>
      <c r="AD9" s="3">
        <f>AD6*$K$62</f>
        <v>4647.5638903125</v>
      </c>
      <c r="AE9" s="3">
        <f>AE6*$K$62</f>
        <v>4614.794262878907</v>
      </c>
    </row>
    <row r="10" spans="1:36" ht="15">
      <c r="A10" s="5" t="s">
        <v>1</v>
      </c>
      <c r="B10" s="9"/>
      <c r="C10" s="9"/>
      <c r="D10" s="9"/>
      <c r="E10" s="9"/>
      <c r="F10" s="9"/>
      <c r="G10" s="9"/>
      <c r="I10" s="1" t="s">
        <v>56</v>
      </c>
      <c r="J10" s="1"/>
      <c r="K10" s="1" t="str">
        <f>K7</f>
        <v>Telephone</v>
      </c>
      <c r="L10" s="23">
        <f>L7/L6</f>
        <v>0.5644210526315789</v>
      </c>
      <c r="M10" s="22">
        <f>M7/M6</f>
        <v>0.18274173806609542</v>
      </c>
      <c r="Z10" t="s">
        <v>37</v>
      </c>
      <c r="AA10" s="3">
        <f>AA6*$K$63</f>
        <v>6120</v>
      </c>
      <c r="AB10" s="3">
        <f>AB6*$K$63</f>
        <v>5013.450000000001</v>
      </c>
      <c r="AC10" s="3">
        <f>AC6*$K$63</f>
        <v>4737.119625000001</v>
      </c>
      <c r="AD10" s="3">
        <f>AD6*$K$63</f>
        <v>4647.5638903125</v>
      </c>
      <c r="AE10" s="3">
        <f>AE6*$K$63</f>
        <v>4614.794262878907</v>
      </c>
      <c r="AI10" s="21">
        <f>L10</f>
        <v>0.5644210526315789</v>
      </c>
      <c r="AJ10" s="21">
        <f>M10</f>
        <v>0.18274173806609542</v>
      </c>
    </row>
    <row r="11" spans="1:36" ht="15">
      <c r="A11" s="1" t="str">
        <f>K51</f>
        <v>Telephone</v>
      </c>
      <c r="B11" s="9"/>
      <c r="C11" s="9">
        <f>K91</f>
        <v>18000</v>
      </c>
      <c r="D11" s="9">
        <f>K95</f>
        <v>18000</v>
      </c>
      <c r="E11" s="9">
        <f>K99</f>
        <v>18000</v>
      </c>
      <c r="F11" s="9">
        <f>K103</f>
        <v>18000</v>
      </c>
      <c r="G11" s="9">
        <f>K107</f>
        <v>18000</v>
      </c>
      <c r="I11" s="1"/>
      <c r="J11" s="1"/>
      <c r="K11" s="1" t="str">
        <f>K8</f>
        <v>Online</v>
      </c>
      <c r="L11" s="22">
        <f>L8/L6</f>
        <v>0.6533684210526315</v>
      </c>
      <c r="M11" s="23">
        <f>M8/M6</f>
        <v>0.9086291309669523</v>
      </c>
      <c r="Z11" t="s">
        <v>38</v>
      </c>
      <c r="AA11" s="3">
        <f>AA6*$K$64</f>
        <v>3059.9999999999995</v>
      </c>
      <c r="AB11" s="3">
        <f>AB6*$K$64</f>
        <v>2506.7249999999995</v>
      </c>
      <c r="AC11" s="3">
        <f>AC6*$K$64</f>
        <v>2368.5598124999997</v>
      </c>
      <c r="AD11" s="3">
        <f>AD6*$K$64</f>
        <v>2323.7819451562495</v>
      </c>
      <c r="AE11" s="3">
        <f>AE6*$K$64</f>
        <v>2307.397131439453</v>
      </c>
      <c r="AI11" s="21">
        <f>L11</f>
        <v>0.6533684210526315</v>
      </c>
      <c r="AJ11" s="21">
        <f>M11</f>
        <v>0.9086291309669523</v>
      </c>
    </row>
    <row r="12" spans="1:35" ht="15">
      <c r="A12" s="1" t="str">
        <f>K52</f>
        <v>Online</v>
      </c>
      <c r="B12" s="9"/>
      <c r="C12" s="9">
        <f>K92</f>
        <v>38000</v>
      </c>
      <c r="D12" s="9">
        <f>K96</f>
        <v>38000</v>
      </c>
      <c r="E12" s="9">
        <f>K100</f>
        <v>38000</v>
      </c>
      <c r="F12" s="9">
        <f>K104</f>
        <v>38000</v>
      </c>
      <c r="G12" s="9">
        <f>K108</f>
        <v>38000</v>
      </c>
      <c r="Z12" t="s">
        <v>36</v>
      </c>
      <c r="AA12" s="3">
        <f>AA7*$K$66</f>
        <v>1620</v>
      </c>
      <c r="AB12" s="3">
        <f>AB7*$K$66</f>
        <v>1550.1000000000001</v>
      </c>
      <c r="AC12" s="3">
        <f>AC7*$K$66</f>
        <v>1488.4562500000002</v>
      </c>
      <c r="AD12" s="3">
        <f>AD7*$K$66</f>
        <v>1454.3555831250003</v>
      </c>
      <c r="AE12" s="3">
        <f>AE7*$K$66</f>
        <v>1437.9523449890626</v>
      </c>
      <c r="AI12" s="21"/>
    </row>
    <row r="13" spans="1:31" ht="15">
      <c r="A13" s="1" t="s">
        <v>10</v>
      </c>
      <c r="B13" s="9"/>
      <c r="C13" s="9">
        <f>K93</f>
        <v>4000</v>
      </c>
      <c r="D13" s="9">
        <f>K97</f>
        <v>4000</v>
      </c>
      <c r="E13" s="9">
        <f>K101</f>
        <v>4000</v>
      </c>
      <c r="F13" s="9">
        <f>K105</f>
        <v>4000</v>
      </c>
      <c r="G13" s="9">
        <f>K109</f>
        <v>4000</v>
      </c>
      <c r="I13" s="1" t="s">
        <v>58</v>
      </c>
      <c r="L13" s="25" t="str">
        <f>AI27</f>
        <v>Acquisition</v>
      </c>
      <c r="M13" s="25" t="str">
        <f>AJ27</f>
        <v>Acquisition</v>
      </c>
      <c r="Z13" t="s">
        <v>37</v>
      </c>
      <c r="AA13" s="3">
        <f>AA7*$K$67</f>
        <v>29160</v>
      </c>
      <c r="AB13" s="3">
        <f>AB7*$K$67</f>
        <v>27901.8</v>
      </c>
      <c r="AC13" s="3">
        <f>AC7*$K$67</f>
        <v>26792.2125</v>
      </c>
      <c r="AD13" s="3">
        <f>AD7*$K$67</f>
        <v>26178.400496250004</v>
      </c>
      <c r="AE13" s="3">
        <f>AE7*$K$67</f>
        <v>25883.142209803125</v>
      </c>
    </row>
    <row r="14" spans="1:36" ht="15">
      <c r="A14" s="1"/>
      <c r="B14" s="10"/>
      <c r="C14" s="10"/>
      <c r="D14" s="10"/>
      <c r="E14" s="10"/>
      <c r="F14" s="10"/>
      <c r="G14" s="10"/>
      <c r="I14" s="1" t="s">
        <v>59</v>
      </c>
      <c r="L14" s="25" t="str">
        <f>AI30</f>
        <v>Transfer</v>
      </c>
      <c r="M14" s="25" t="str">
        <f>AJ30</f>
        <v>Isolation</v>
      </c>
      <c r="Z14" t="s">
        <v>38</v>
      </c>
      <c r="AA14" s="3">
        <f>AA7*$K$68</f>
        <v>1619.999999999998</v>
      </c>
      <c r="AB14" s="3">
        <f>AB7*$K$68</f>
        <v>1550.0999999999979</v>
      </c>
      <c r="AC14" s="3">
        <f>AC7*$K$68</f>
        <v>1488.456249999998</v>
      </c>
      <c r="AD14" s="3">
        <f>AD7*$K$68</f>
        <v>1454.3555831249982</v>
      </c>
      <c r="AE14" s="3">
        <f>AE7*$K$68</f>
        <v>1437.9523449890605</v>
      </c>
      <c r="AI14">
        <f>IF(AI7&gt;=0.4,1,0)</f>
        <v>0</v>
      </c>
      <c r="AJ14">
        <f>IF(AJ8&gt;=0.4,1,0)</f>
        <v>0</v>
      </c>
    </row>
    <row r="15" spans="1:36" ht="15">
      <c r="A15" s="5" t="s">
        <v>3</v>
      </c>
      <c r="B15" s="10"/>
      <c r="C15" s="10"/>
      <c r="D15" s="10"/>
      <c r="E15" s="10"/>
      <c r="F15" s="10"/>
      <c r="G15" s="10"/>
      <c r="Z15" t="s">
        <v>36</v>
      </c>
      <c r="AA15" s="3">
        <f>AA8*$K$70</f>
        <v>2112.5</v>
      </c>
      <c r="AB15" s="3">
        <f>AB8*$K$70</f>
        <v>1753.7812499999995</v>
      </c>
      <c r="AC15" s="3">
        <f>AC8*$K$70</f>
        <v>1594.2235156249997</v>
      </c>
      <c r="AD15" s="3">
        <f>AD8*$K$70</f>
        <v>1535.8264314453122</v>
      </c>
      <c r="AE15" s="3">
        <f>AE8*$K$70</f>
        <v>1513.5191434555659</v>
      </c>
      <c r="AI15">
        <f>IF(AI7&gt;=0.6,1,0)</f>
        <v>0</v>
      </c>
      <c r="AJ15">
        <f>IF(AJ8&gt;=0.6,1,0)</f>
        <v>0</v>
      </c>
    </row>
    <row r="16" spans="1:36" ht="15">
      <c r="A16" s="1" t="str">
        <f>K51</f>
        <v>Telephone</v>
      </c>
      <c r="B16" s="11"/>
      <c r="C16" s="20">
        <f aca="true" t="shared" si="2" ref="C16:G17">AA48</f>
        <v>8351500</v>
      </c>
      <c r="D16" s="20">
        <f t="shared" si="2"/>
        <v>7603371.25</v>
      </c>
      <c r="E16" s="20">
        <f t="shared" si="2"/>
        <v>7352466.065625</v>
      </c>
      <c r="F16" s="20">
        <f t="shared" si="2"/>
        <v>7260077.401070312</v>
      </c>
      <c r="G16" s="20">
        <f t="shared" si="2"/>
        <v>7223745.076863378</v>
      </c>
      <c r="I16" s="1" t="s">
        <v>61</v>
      </c>
      <c r="K16" s="26"/>
      <c r="L16" s="27">
        <f>((L6*(C6+C8)/(C6+C7+C8)*(L11^0.5))+(M6*(C7+C8)/(C6+C7+C8)*(L10^0.5)))*100</f>
        <v>38.40959615887425</v>
      </c>
      <c r="Z16" t="s">
        <v>37</v>
      </c>
      <c r="AA16" s="3">
        <f>AA8*$K$71</f>
        <v>4225</v>
      </c>
      <c r="AB16" s="3">
        <f>AB8*$K$71</f>
        <v>3507.562499999999</v>
      </c>
      <c r="AC16" s="3">
        <f>AC8*$K$71</f>
        <v>3188.4470312499993</v>
      </c>
      <c r="AD16" s="3">
        <f>AD8*$K$71</f>
        <v>3071.6528628906244</v>
      </c>
      <c r="AE16" s="3">
        <f>AE8*$K$71</f>
        <v>3027.0382869111318</v>
      </c>
      <c r="AI16">
        <f>AI14+AI15</f>
        <v>0</v>
      </c>
      <c r="AJ16">
        <f>AJ14+AJ15</f>
        <v>0</v>
      </c>
    </row>
    <row r="17" spans="1:31" ht="15">
      <c r="A17" s="1" t="str">
        <f>K52</f>
        <v>Online</v>
      </c>
      <c r="B17" s="11"/>
      <c r="C17" s="20">
        <f t="shared" si="2"/>
        <v>20467125</v>
      </c>
      <c r="D17" s="20">
        <f t="shared" si="2"/>
        <v>19277084.0625</v>
      </c>
      <c r="E17" s="20">
        <f t="shared" si="2"/>
        <v>18654555.17578125</v>
      </c>
      <c r="F17" s="20">
        <f t="shared" si="2"/>
        <v>18365281.035697266</v>
      </c>
      <c r="G17" s="20">
        <f t="shared" si="2"/>
        <v>18236071.31564559</v>
      </c>
      <c r="J17" s="14" t="s">
        <v>62</v>
      </c>
      <c r="Z17" t="s">
        <v>38</v>
      </c>
      <c r="AA17" s="3">
        <f>AA8*$K$72</f>
        <v>2112.5</v>
      </c>
      <c r="AB17" s="3">
        <f>AB8*$K$72</f>
        <v>1753.7812499999995</v>
      </c>
      <c r="AC17" s="3">
        <f>AC8*$K$72</f>
        <v>1594.2235156249997</v>
      </c>
      <c r="AD17" s="3">
        <f>AD8*$K$72</f>
        <v>1535.8264314453122</v>
      </c>
      <c r="AE17" s="3">
        <f>AE8*$K$72</f>
        <v>1513.5191434555659</v>
      </c>
    </row>
    <row r="18" spans="1:36" ht="15">
      <c r="A18" s="1" t="s">
        <v>6</v>
      </c>
      <c r="B18" s="11"/>
      <c r="C18" s="20">
        <f>C16+C17</f>
        <v>28818625</v>
      </c>
      <c r="D18" s="20">
        <f>D16+D17</f>
        <v>26880455.3125</v>
      </c>
      <c r="E18" s="20">
        <f>E16+E17</f>
        <v>26007021.24140625</v>
      </c>
      <c r="F18" s="20">
        <f>F16+F17</f>
        <v>25625358.436767578</v>
      </c>
      <c r="G18" s="20">
        <f>G16+G17</f>
        <v>25459816.39250897</v>
      </c>
      <c r="J18" s="14"/>
      <c r="AA18" s="7" t="s">
        <v>35</v>
      </c>
      <c r="AB18" s="7" t="s">
        <v>35</v>
      </c>
      <c r="AC18" s="7" t="s">
        <v>35</v>
      </c>
      <c r="AD18" s="7" t="s">
        <v>35</v>
      </c>
      <c r="AE18" s="7" t="s">
        <v>35</v>
      </c>
      <c r="AI18">
        <f>IF(AI11&gt;=0.2,1,0)</f>
        <v>1</v>
      </c>
      <c r="AJ18">
        <f>IF(AJ10&gt;=0.2,1,0)</f>
        <v>0</v>
      </c>
    </row>
    <row r="19" spans="1:36" ht="15">
      <c r="A19" s="1"/>
      <c r="B19" s="10"/>
      <c r="C19" s="10"/>
      <c r="D19" s="10"/>
      <c r="E19" s="10"/>
      <c r="F19" s="10"/>
      <c r="G19" s="10"/>
      <c r="J19" s="14"/>
      <c r="Z19" t="s">
        <v>36</v>
      </c>
      <c r="AA19" s="3">
        <f aca="true" t="shared" si="3" ref="AA19:AE21">C11</f>
        <v>18000</v>
      </c>
      <c r="AB19" s="3">
        <f t="shared" si="3"/>
        <v>18000</v>
      </c>
      <c r="AC19" s="3">
        <f t="shared" si="3"/>
        <v>18000</v>
      </c>
      <c r="AD19" s="3">
        <f t="shared" si="3"/>
        <v>18000</v>
      </c>
      <c r="AE19" s="3">
        <f t="shared" si="3"/>
        <v>18000</v>
      </c>
      <c r="AI19">
        <f>IF(AI11&gt;=0.5,1,0)</f>
        <v>1</v>
      </c>
      <c r="AJ19">
        <f>IF(AJ10&gt;=0.5,1,0)</f>
        <v>0</v>
      </c>
    </row>
    <row r="20" spans="1:36" ht="15">
      <c r="A20" s="5" t="s">
        <v>4</v>
      </c>
      <c r="B20" s="10"/>
      <c r="C20" s="10"/>
      <c r="D20" s="10"/>
      <c r="E20" s="10"/>
      <c r="F20" s="10"/>
      <c r="G20" s="10"/>
      <c r="J20" s="14"/>
      <c r="Z20" t="s">
        <v>37</v>
      </c>
      <c r="AA20" s="3">
        <f t="shared" si="3"/>
        <v>38000</v>
      </c>
      <c r="AB20" s="3">
        <f t="shared" si="3"/>
        <v>38000</v>
      </c>
      <c r="AC20" s="3">
        <f t="shared" si="3"/>
        <v>38000</v>
      </c>
      <c r="AD20" s="3">
        <f t="shared" si="3"/>
        <v>38000</v>
      </c>
      <c r="AE20" s="3">
        <f t="shared" si="3"/>
        <v>38000</v>
      </c>
      <c r="AI20">
        <f>AI18+AI19</f>
        <v>2</v>
      </c>
      <c r="AJ20">
        <f>AJ18+AJ19</f>
        <v>0</v>
      </c>
    </row>
    <row r="21" spans="1:31" ht="15">
      <c r="A21" s="1" t="str">
        <f>K51</f>
        <v>Telephone</v>
      </c>
      <c r="B21" s="9"/>
      <c r="C21" s="9">
        <f>C6+C8</f>
        <v>38645</v>
      </c>
      <c r="D21" s="9">
        <f>D6+D8</f>
        <v>36127.9375</v>
      </c>
      <c r="E21" s="9">
        <f>E6+E8</f>
        <v>35271.03896875</v>
      </c>
      <c r="F21" s="9">
        <f>F6+F8</f>
        <v>34951.70986460937</v>
      </c>
      <c r="G21" s="9">
        <f>G6+G8</f>
        <v>34825.13437120761</v>
      </c>
      <c r="J21" s="14"/>
      <c r="Z21" t="s">
        <v>38</v>
      </c>
      <c r="AA21" s="3">
        <f t="shared" si="3"/>
        <v>4000</v>
      </c>
      <c r="AB21" s="3">
        <f t="shared" si="3"/>
        <v>4000</v>
      </c>
      <c r="AC21" s="3">
        <f t="shared" si="3"/>
        <v>4000</v>
      </c>
      <c r="AD21" s="3">
        <f t="shared" si="3"/>
        <v>4000</v>
      </c>
      <c r="AE21" s="3">
        <f t="shared" si="3"/>
        <v>4000</v>
      </c>
    </row>
    <row r="22" spans="1:31" ht="15">
      <c r="A22" s="1" t="str">
        <f>K52</f>
        <v>Online</v>
      </c>
      <c r="B22" s="9"/>
      <c r="C22" s="9">
        <f>C7+C8</f>
        <v>88297.5</v>
      </c>
      <c r="D22" s="9">
        <f>D7+D8</f>
        <v>84233.41875</v>
      </c>
      <c r="E22" s="9">
        <f>E7+E8</f>
        <v>82169.018734375</v>
      </c>
      <c r="F22" s="9">
        <f>F7+F8</f>
        <v>81211.58120917968</v>
      </c>
      <c r="G22" s="9">
        <f>G7+G8</f>
        <v>80783.84337947724</v>
      </c>
      <c r="AA22" s="7" t="s">
        <v>35</v>
      </c>
      <c r="AB22" s="7" t="s">
        <v>35</v>
      </c>
      <c r="AC22" s="7" t="s">
        <v>35</v>
      </c>
      <c r="AD22" s="7" t="s">
        <v>35</v>
      </c>
      <c r="AE22" s="7" t="s">
        <v>35</v>
      </c>
    </row>
    <row r="23" spans="1:36" ht="15">
      <c r="A23" s="1" t="s">
        <v>6</v>
      </c>
      <c r="B23" s="9"/>
      <c r="C23" s="9">
        <f>C6+C7+C8</f>
        <v>116150</v>
      </c>
      <c r="D23" s="9">
        <f>D6+D7+D8</f>
        <v>110550.75</v>
      </c>
      <c r="E23" s="9">
        <f>E6+E7+E8</f>
        <v>107988.818125</v>
      </c>
      <c r="F23" s="9">
        <f>F6+F7+F8</f>
        <v>106849.3271140625</v>
      </c>
      <c r="G23" s="9">
        <f>G6+G7+G8</f>
        <v>106350.10913080077</v>
      </c>
      <c r="Z23" t="s">
        <v>36</v>
      </c>
      <c r="AA23" s="3">
        <f>$K$74*AA9</f>
        <v>1836000</v>
      </c>
      <c r="AB23" s="3">
        <f>$K$74*AB9</f>
        <v>1504035.0000000002</v>
      </c>
      <c r="AC23" s="3">
        <f>$K$74*AC9</f>
        <v>1421135.8875000004</v>
      </c>
      <c r="AD23" s="3">
        <f>$K$74*AD9</f>
        <v>1394269.16709375</v>
      </c>
      <c r="AE23" s="3">
        <f>$K$74*AE9</f>
        <v>1384438.2788636722</v>
      </c>
      <c r="AI23" s="24" t="str">
        <f>IF(AI16=0,"Acquisition","Hybrid")</f>
        <v>Acquisition</v>
      </c>
      <c r="AJ23" s="24" t="str">
        <f>IF(AJ16=0,"Acquisition","Hybrid")</f>
        <v>Acquisition</v>
      </c>
    </row>
    <row r="24" spans="1:36" ht="15">
      <c r="A24" s="1"/>
      <c r="B24" s="9"/>
      <c r="C24" s="9"/>
      <c r="D24" s="9"/>
      <c r="E24" s="9"/>
      <c r="F24" s="9"/>
      <c r="G24" s="9"/>
      <c r="AA24" s="3"/>
      <c r="AB24" s="3"/>
      <c r="AC24" s="3"/>
      <c r="AD24" s="3"/>
      <c r="AE24" s="3"/>
      <c r="AI24" s="24"/>
      <c r="AJ24" s="24"/>
    </row>
    <row r="25" spans="1:36" ht="15">
      <c r="A25" s="5" t="s">
        <v>93</v>
      </c>
      <c r="B25" s="9"/>
      <c r="C25" s="9"/>
      <c r="D25" s="9"/>
      <c r="E25" s="9"/>
      <c r="F25" s="9"/>
      <c r="G25" s="9"/>
      <c r="AA25" s="3"/>
      <c r="AB25" s="3"/>
      <c r="AC25" s="3"/>
      <c r="AD25" s="3"/>
      <c r="AE25" s="3"/>
      <c r="AI25" s="24"/>
      <c r="AJ25" s="24"/>
    </row>
    <row r="26" spans="1:36" ht="15">
      <c r="A26" s="1" t="s">
        <v>6</v>
      </c>
      <c r="B26" s="9"/>
      <c r="C26" s="11">
        <f>(C16*$K$118-B6*$K$116-C11*$K$117)+(C17*$K$122-B7*$K$120-C12*$K$121)-(B8*$K$116+B8*$K$120)-(C13*$K$117+C13*$K$121)</f>
        <v>8260518.75</v>
      </c>
      <c r="D26" s="11">
        <f>(D16*$K$118-C6*$K$116-D11*$K$117)+(D17*$K$122-C7*$K$120-D12*$K$121)-(C8*$K$116+C8*$K$120)-(D13*$K$117+D13*$K$121)</f>
        <v>7694221.859375</v>
      </c>
      <c r="E26" s="11">
        <f>(E16*$K$118-D6*$K$116-E11*$K$117)+(E17*$K$122-D7*$K$120-E12*$K$121)-(D8*$K$116+D8*$K$120)-(E13*$K$117+E13*$K$121)</f>
        <v>7434010.965742188</v>
      </c>
      <c r="F26" s="11">
        <f>(F16*$K$118-E6*$K$116-F11*$K$117)+(F17*$K$122-E7*$K$120-F12*$K$121)-(E8*$K$116+E8*$K$120)-(F13*$K$117+F13*$K$121)</f>
        <v>7319319.9695092775</v>
      </c>
      <c r="G26" s="11">
        <f>(G16*$K$118-F6*$K$116-G11*$K$117)+(G17*$K$122-F7*$K$120-G12*$K$121)-(F8*$K$116+F8*$K$120)-(G13*$K$117+G13*$K$121)</f>
        <v>7269360.732686146</v>
      </c>
      <c r="AA26" s="3"/>
      <c r="AB26" s="3"/>
      <c r="AC26" s="3"/>
      <c r="AD26" s="3"/>
      <c r="AE26" s="3"/>
      <c r="AI26" s="24"/>
      <c r="AJ26" s="24"/>
    </row>
    <row r="27" spans="1:36" ht="15">
      <c r="A27" s="1"/>
      <c r="B27" s="10"/>
      <c r="C27" s="10"/>
      <c r="D27" s="10"/>
      <c r="E27" s="10"/>
      <c r="F27" s="10"/>
      <c r="G27" s="10"/>
      <c r="Z27" t="s">
        <v>37</v>
      </c>
      <c r="AA27" s="3">
        <f>$K$75*AA10</f>
        <v>1530000</v>
      </c>
      <c r="AB27" s="3">
        <f>$K$75*AB10</f>
        <v>1253362.5000000002</v>
      </c>
      <c r="AC27" s="3">
        <f>$K$75*AC10</f>
        <v>1184279.9062500002</v>
      </c>
      <c r="AD27" s="3">
        <f>$K$75*AD10</f>
        <v>1161890.972578125</v>
      </c>
      <c r="AE27" s="3">
        <f>$K$75*AE10</f>
        <v>1153698.5657197267</v>
      </c>
      <c r="AI27" s="24" t="str">
        <f>IF(AI16=2,"Retention",AI23)</f>
        <v>Acquisition</v>
      </c>
      <c r="AJ27" s="24" t="str">
        <f>IF(AJ16=2,"Retention",AJ23)</f>
        <v>Acquisition</v>
      </c>
    </row>
    <row r="28" spans="1:36" ht="15">
      <c r="A28" s="5" t="s">
        <v>5</v>
      </c>
      <c r="B28" s="10"/>
      <c r="C28" s="10"/>
      <c r="D28" s="10"/>
      <c r="E28" s="10"/>
      <c r="F28" s="10"/>
      <c r="G28" s="10"/>
      <c r="Z28" t="s">
        <v>36</v>
      </c>
      <c r="AA28" s="3">
        <f>$K$76*AA11</f>
        <v>917999.9999999999</v>
      </c>
      <c r="AB28" s="3">
        <f>$K$76*AB11</f>
        <v>752017.4999999999</v>
      </c>
      <c r="AC28" s="3">
        <f>$K$76*AC11</f>
        <v>710567.9437499999</v>
      </c>
      <c r="AD28" s="3">
        <f>$K$76*AD11</f>
        <v>697134.5835468748</v>
      </c>
      <c r="AE28" s="3">
        <f>$K$76*AE11</f>
        <v>692219.1394318359</v>
      </c>
      <c r="AI28" s="24"/>
      <c r="AJ28" s="24"/>
    </row>
    <row r="29" spans="1:36" ht="15">
      <c r="A29" s="1" t="str">
        <f>K51</f>
        <v>Telephone</v>
      </c>
      <c r="B29" s="12"/>
      <c r="C29" s="12">
        <f aca="true" t="shared" si="4" ref="C29:G31">C16/C21</f>
        <v>216.10816405744598</v>
      </c>
      <c r="D29" s="12">
        <f t="shared" si="4"/>
        <v>210.4568313649236</v>
      </c>
      <c r="E29" s="12">
        <f t="shared" si="4"/>
        <v>208.45618049809238</v>
      </c>
      <c r="F29" s="12">
        <f t="shared" si="4"/>
        <v>207.7173743199774</v>
      </c>
      <c r="G29" s="12">
        <f t="shared" si="4"/>
        <v>207.42906545209934</v>
      </c>
      <c r="Z29" t="s">
        <v>37</v>
      </c>
      <c r="AA29" s="3">
        <f>$K$77*AA11</f>
        <v>764999.9999999999</v>
      </c>
      <c r="AB29" s="3">
        <f>$K$77*AB11</f>
        <v>626681.2499999999</v>
      </c>
      <c r="AC29" s="3">
        <f>$K$77*AC11</f>
        <v>592139.9531249999</v>
      </c>
      <c r="AD29" s="3">
        <f>$K$77*AD11</f>
        <v>580945.4862890624</v>
      </c>
      <c r="AE29" s="3">
        <f>$K$77*AE11</f>
        <v>576849.2828598632</v>
      </c>
      <c r="AI29" s="24" t="str">
        <f>IF(AI20=0,"Isolation","Equilibrium")</f>
        <v>Equilibrium</v>
      </c>
      <c r="AJ29" s="24" t="str">
        <f>IF(AJ20=0,"Isolation","Equilibrium")</f>
        <v>Isolation</v>
      </c>
    </row>
    <row r="30" spans="1:36" ht="15">
      <c r="A30" s="1" t="str">
        <f>K52</f>
        <v>Online</v>
      </c>
      <c r="B30" s="12"/>
      <c r="C30" s="12">
        <f t="shared" si="4"/>
        <v>231.79733288031937</v>
      </c>
      <c r="D30" s="12">
        <f t="shared" si="4"/>
        <v>228.8531600470033</v>
      </c>
      <c r="E30" s="12">
        <f t="shared" si="4"/>
        <v>227.0266271048605</v>
      </c>
      <c r="F30" s="12">
        <f t="shared" si="4"/>
        <v>226.14115822216453</v>
      </c>
      <c r="G30" s="12">
        <f t="shared" si="4"/>
        <v>225.73909030278173</v>
      </c>
      <c r="Z30" t="s">
        <v>36</v>
      </c>
      <c r="AA30" s="3">
        <f>$K$79*AA12</f>
        <v>405000</v>
      </c>
      <c r="AB30" s="3">
        <f>$K$79*AB12</f>
        <v>387525.00000000006</v>
      </c>
      <c r="AC30" s="3">
        <f>$K$79*AC12</f>
        <v>372114.06250000006</v>
      </c>
      <c r="AD30" s="3">
        <f>$K$79*AD12</f>
        <v>363588.8957812501</v>
      </c>
      <c r="AE30" s="3">
        <f>$K$79*AE12</f>
        <v>359488.08624726563</v>
      </c>
      <c r="AI30" s="24" t="str">
        <f>IF(AI20=2,"Transfer",AI29)</f>
        <v>Transfer</v>
      </c>
      <c r="AJ30" s="24" t="str">
        <f>IF(AJ20=2,"Transfer",AJ29)</f>
        <v>Isolation</v>
      </c>
    </row>
    <row r="31" spans="1:31" ht="15">
      <c r="A31" s="1" t="s">
        <v>6</v>
      </c>
      <c r="B31" s="12"/>
      <c r="C31" s="12">
        <f t="shared" si="4"/>
        <v>248.11558329746018</v>
      </c>
      <c r="D31" s="12">
        <f t="shared" si="4"/>
        <v>243.1503658953015</v>
      </c>
      <c r="E31" s="12">
        <f t="shared" si="4"/>
        <v>240.8306868522481</v>
      </c>
      <c r="F31" s="12">
        <f t="shared" si="4"/>
        <v>239.827045512531</v>
      </c>
      <c r="G31" s="12">
        <f t="shared" si="4"/>
        <v>239.39624134466806</v>
      </c>
      <c r="Z31" t="s">
        <v>37</v>
      </c>
      <c r="AA31" s="3">
        <f>$K$80*AA13</f>
        <v>8748000</v>
      </c>
      <c r="AB31" s="3">
        <f>$K$80*AB13</f>
        <v>8370540</v>
      </c>
      <c r="AC31" s="3">
        <f>$K$80*AC13</f>
        <v>8037663.75</v>
      </c>
      <c r="AD31" s="3">
        <f>$K$80*AD13</f>
        <v>7853520.148875001</v>
      </c>
      <c r="AE31" s="3">
        <f>$K$80*AE13</f>
        <v>7764942.662940938</v>
      </c>
    </row>
    <row r="32" spans="26:31" ht="15">
      <c r="Z32" t="s">
        <v>36</v>
      </c>
      <c r="AA32" s="3">
        <f>$K$81*AA14</f>
        <v>404999.9999999995</v>
      </c>
      <c r="AB32" s="3">
        <f>$K$81*AB14</f>
        <v>387524.9999999995</v>
      </c>
      <c r="AC32" s="3">
        <f>$K$81*AC14</f>
        <v>372114.0624999995</v>
      </c>
      <c r="AD32" s="3">
        <f>$K$81*AD14</f>
        <v>363588.89578124956</v>
      </c>
      <c r="AE32" s="3">
        <f>$K$81*AE14</f>
        <v>359488.0862472651</v>
      </c>
    </row>
    <row r="33" spans="26:31" ht="15">
      <c r="Z33" t="s">
        <v>37</v>
      </c>
      <c r="AA33" s="3">
        <f>$K$82*AA14</f>
        <v>485999.99999999936</v>
      </c>
      <c r="AB33" s="3">
        <f>$K$82*AB14</f>
        <v>465029.99999999936</v>
      </c>
      <c r="AC33" s="3">
        <f>$K$82*AC14</f>
        <v>446536.87499999936</v>
      </c>
      <c r="AD33" s="3">
        <f>$K$82*AD14</f>
        <v>436306.67493749945</v>
      </c>
      <c r="AE33" s="3">
        <f>$K$82*AE14</f>
        <v>431385.70349671814</v>
      </c>
    </row>
    <row r="34" spans="26:31" ht="15">
      <c r="Z34" t="s">
        <v>36</v>
      </c>
      <c r="AA34" s="3">
        <f>$K$84*AA15</f>
        <v>633750</v>
      </c>
      <c r="AB34" s="3">
        <f>$K$84*AB15</f>
        <v>526134.3749999999</v>
      </c>
      <c r="AC34" s="3">
        <f>$K$84*AC15</f>
        <v>478267.0546874999</v>
      </c>
      <c r="AD34" s="3">
        <f>$K$84*AD15</f>
        <v>460747.92943359364</v>
      </c>
      <c r="AE34" s="3">
        <f>$K$84*AE15</f>
        <v>454055.74303666974</v>
      </c>
    </row>
    <row r="35" spans="26:31" ht="15">
      <c r="Z35" t="s">
        <v>37</v>
      </c>
      <c r="AA35" s="3">
        <f>$K$85*AA16</f>
        <v>1478750</v>
      </c>
      <c r="AB35" s="3">
        <f>$K$85*AB16</f>
        <v>1227646.8749999998</v>
      </c>
      <c r="AC35" s="3">
        <f>$K$85*AC16</f>
        <v>1115956.4609374998</v>
      </c>
      <c r="AD35" s="3">
        <f>$K$85*AD16</f>
        <v>1075078.5020117185</v>
      </c>
      <c r="AE35" s="3">
        <f>$K$85*AE16</f>
        <v>1059463.4004188962</v>
      </c>
    </row>
    <row r="36" spans="26:31" ht="15">
      <c r="Z36" t="s">
        <v>36</v>
      </c>
      <c r="AA36" s="3">
        <f>$K$86*AA17</f>
        <v>633750</v>
      </c>
      <c r="AB36" s="3">
        <f>$K$86*AB17</f>
        <v>526134.3749999999</v>
      </c>
      <c r="AC36" s="3">
        <f>$K$86*AC17</f>
        <v>478267.0546874999</v>
      </c>
      <c r="AD36" s="3">
        <f>$K$86*AD17</f>
        <v>460747.92943359364</v>
      </c>
      <c r="AE36" s="3">
        <f>$K$86*AE17</f>
        <v>454055.74303666974</v>
      </c>
    </row>
    <row r="37" spans="26:31" ht="15">
      <c r="Z37" t="s">
        <v>37</v>
      </c>
      <c r="AA37" s="3">
        <f>$K$87*AA17</f>
        <v>739375</v>
      </c>
      <c r="AB37" s="3">
        <f>$K$87*AB17</f>
        <v>613823.4374999999</v>
      </c>
      <c r="AC37" s="3">
        <f>$K$87*AC17</f>
        <v>557978.2304687499</v>
      </c>
      <c r="AD37" s="3">
        <f>$K$87*AD17</f>
        <v>537539.2510058592</v>
      </c>
      <c r="AE37" s="3">
        <f>$K$87*AE17</f>
        <v>529731.7002094481</v>
      </c>
    </row>
    <row r="38" spans="26:31" ht="15">
      <c r="Z38" t="s">
        <v>36</v>
      </c>
      <c r="AA38" s="3">
        <f>$K$111*AA19</f>
        <v>2880000</v>
      </c>
      <c r="AB38" s="3">
        <f>$K$111*AB19</f>
        <v>2880000</v>
      </c>
      <c r="AC38" s="3">
        <f>$K$111*AC19</f>
        <v>2880000</v>
      </c>
      <c r="AD38" s="3">
        <f>$K$111*AD19</f>
        <v>2880000</v>
      </c>
      <c r="AE38" s="3">
        <f>$K$111*AE19</f>
        <v>2880000</v>
      </c>
    </row>
    <row r="39" spans="26:31" ht="15">
      <c r="Z39" t="s">
        <v>37</v>
      </c>
      <c r="AA39" s="3">
        <f>$K$112*AA20</f>
        <v>6080000</v>
      </c>
      <c r="AB39" s="3">
        <f>$K$112*AB20</f>
        <v>6080000</v>
      </c>
      <c r="AC39" s="3">
        <f>$K$112*AC20</f>
        <v>6080000</v>
      </c>
      <c r="AD39" s="3">
        <f>$K$112*AD20</f>
        <v>6080000</v>
      </c>
      <c r="AE39" s="3">
        <f>$K$112*AE20</f>
        <v>6080000</v>
      </c>
    </row>
    <row r="40" spans="26:31" ht="15">
      <c r="Z40" t="s">
        <v>36</v>
      </c>
      <c r="AA40" s="3">
        <f>$K$113*AA21</f>
        <v>640000</v>
      </c>
      <c r="AB40" s="3">
        <f>$K$113*AB21</f>
        <v>640000</v>
      </c>
      <c r="AC40" s="3">
        <f>$K$113*AC21</f>
        <v>640000</v>
      </c>
      <c r="AD40" s="3">
        <f>$K$113*AD21</f>
        <v>640000</v>
      </c>
      <c r="AE40" s="3">
        <f>$K$113*AE21</f>
        <v>640000</v>
      </c>
    </row>
    <row r="41" spans="26:31" ht="15">
      <c r="Z41" t="s">
        <v>37</v>
      </c>
      <c r="AA41" s="3">
        <f>$K$114*AA21</f>
        <v>640000</v>
      </c>
      <c r="AB41" s="3">
        <f>$K$114*AB21</f>
        <v>640000</v>
      </c>
      <c r="AC41" s="3">
        <f>$K$114*AC21</f>
        <v>640000</v>
      </c>
      <c r="AD41" s="3">
        <f>$K$114*AD21</f>
        <v>640000</v>
      </c>
      <c r="AE41" s="3">
        <f>$K$114*AE21</f>
        <v>640000</v>
      </c>
    </row>
    <row r="42" spans="27:31" ht="15">
      <c r="AA42" s="7" t="s">
        <v>35</v>
      </c>
      <c r="AB42" s="7" t="s">
        <v>35</v>
      </c>
      <c r="AC42" s="7" t="s">
        <v>35</v>
      </c>
      <c r="AD42" s="7" t="s">
        <v>35</v>
      </c>
      <c r="AE42" s="7" t="s">
        <v>35</v>
      </c>
    </row>
    <row r="43" spans="27:31" ht="15">
      <c r="AA43" s="3"/>
      <c r="AB43" s="3"/>
      <c r="AC43" s="3"/>
      <c r="AD43" s="3"/>
      <c r="AE43" s="3"/>
    </row>
    <row r="44" spans="26:31" ht="15">
      <c r="Z44" t="s">
        <v>39</v>
      </c>
      <c r="AA44" s="3">
        <f aca="true" t="shared" si="5" ref="AA44:AE46">AA9+AA12+AA15+AA19</f>
        <v>27852.5</v>
      </c>
      <c r="AB44" s="3">
        <f t="shared" si="5"/>
        <v>26317.331250000003</v>
      </c>
      <c r="AC44" s="3">
        <f t="shared" si="5"/>
        <v>25819.799390625</v>
      </c>
      <c r="AD44" s="3">
        <f t="shared" si="5"/>
        <v>25637.745904882813</v>
      </c>
      <c r="AE44" s="3">
        <f t="shared" si="5"/>
        <v>25566.265751323535</v>
      </c>
    </row>
    <row r="45" spans="26:31" ht="15">
      <c r="Z45" t="s">
        <v>40</v>
      </c>
      <c r="AA45" s="3">
        <f t="shared" si="5"/>
        <v>77505</v>
      </c>
      <c r="AB45" s="3">
        <f t="shared" si="5"/>
        <v>74422.8125</v>
      </c>
      <c r="AC45" s="3">
        <f t="shared" si="5"/>
        <v>72717.77915625</v>
      </c>
      <c r="AD45" s="3">
        <f t="shared" si="5"/>
        <v>71897.61724945312</v>
      </c>
      <c r="AE45" s="3">
        <f t="shared" si="5"/>
        <v>71524.97475959317</v>
      </c>
    </row>
    <row r="46" spans="26:31" ht="15">
      <c r="Z46" t="s">
        <v>41</v>
      </c>
      <c r="AA46" s="3">
        <f t="shared" si="5"/>
        <v>10792.499999999996</v>
      </c>
      <c r="AB46" s="3">
        <f t="shared" si="5"/>
        <v>9810.606249999997</v>
      </c>
      <c r="AC46" s="3">
        <f t="shared" si="5"/>
        <v>9451.239578124998</v>
      </c>
      <c r="AD46" s="3">
        <f t="shared" si="5"/>
        <v>9313.96395972656</v>
      </c>
      <c r="AE46" s="3">
        <f t="shared" si="5"/>
        <v>9258.868619884079</v>
      </c>
    </row>
    <row r="47" spans="27:31" ht="15">
      <c r="AA47" s="3"/>
      <c r="AB47" s="3"/>
      <c r="AC47" s="3"/>
      <c r="AD47" s="3"/>
      <c r="AE47" s="3"/>
    </row>
    <row r="48" spans="1:31" ht="15">
      <c r="A48" s="1"/>
      <c r="Z48" t="s">
        <v>42</v>
      </c>
      <c r="AA48" s="3">
        <f>AA23+AA28+AA30+AA32+AA34+AA36+AA38+AA40</f>
        <v>8351500</v>
      </c>
      <c r="AB48" s="3">
        <f>AB23+AB28+AB30+AB32+AB34+AB36+AB38+AB40</f>
        <v>7603371.25</v>
      </c>
      <c r="AC48" s="3">
        <f>AC23+AC28+AC30+AC32+AC34+AC36+AC38+AC40</f>
        <v>7352466.065625</v>
      </c>
      <c r="AD48" s="3">
        <f>AD23+AD28+AD30+AD32+AD34+AD36+AD38+AD40</f>
        <v>7260077.401070312</v>
      </c>
      <c r="AE48" s="3">
        <f>AE23+AE28+AE30+AE32+AE34+AE36+AE38+AE40</f>
        <v>7223745.076863378</v>
      </c>
    </row>
    <row r="49" spans="1:31" ht="15">
      <c r="A49" s="1" t="s">
        <v>15</v>
      </c>
      <c r="K49" s="19" t="s">
        <v>54</v>
      </c>
      <c r="Z49" t="s">
        <v>43</v>
      </c>
      <c r="AA49" s="3">
        <f>AA27+AA29+AA31+AA33+AA35+AA37+AA39+AA41</f>
        <v>20467125</v>
      </c>
      <c r="AB49" s="3">
        <f>AB27+AB29+AB31+AB33+AB35+AB37+AB39+AB41</f>
        <v>19277084.0625</v>
      </c>
      <c r="AC49" s="3">
        <f>AC27+AC29+AC31+AC33+AC35+AC37+AC39+AC41</f>
        <v>18654555.17578125</v>
      </c>
      <c r="AD49" s="3">
        <f>AD27+AD29+AD31+AD33+AD35+AD37+AD39+AD41</f>
        <v>18365281.035697266</v>
      </c>
      <c r="AE49" s="3">
        <f>AE27+AE29+AE31+AE33+AE35+AE37+AE39+AE41</f>
        <v>18236071.31564559</v>
      </c>
    </row>
    <row r="50" ht="15">
      <c r="AA50" s="3"/>
    </row>
    <row r="51" spans="1:27" ht="15">
      <c r="A51" s="18" t="s">
        <v>8</v>
      </c>
      <c r="H51" s="4"/>
      <c r="K51" s="13" t="s">
        <v>94</v>
      </c>
      <c r="L51" s="4"/>
      <c r="AA51" s="3"/>
    </row>
    <row r="52" spans="1:27" ht="15">
      <c r="A52" s="18" t="s">
        <v>9</v>
      </c>
      <c r="H52" s="4"/>
      <c r="K52" s="13" t="s">
        <v>95</v>
      </c>
      <c r="L52" s="4"/>
      <c r="AA52" s="3"/>
    </row>
    <row r="53" spans="1:27" ht="15">
      <c r="A53" s="18"/>
      <c r="K53" s="14"/>
      <c r="AA53" s="3"/>
    </row>
    <row r="54" spans="1:27" ht="15">
      <c r="A54" s="18" t="s">
        <v>11</v>
      </c>
      <c r="H54" s="3"/>
      <c r="K54" s="15">
        <v>34000</v>
      </c>
      <c r="L54" s="3"/>
      <c r="AA54" s="3"/>
    </row>
    <row r="55" spans="1:27" ht="15">
      <c r="A55" s="18" t="s">
        <v>12</v>
      </c>
      <c r="H55" s="3"/>
      <c r="K55" s="15">
        <v>81000</v>
      </c>
      <c r="L55" s="3"/>
      <c r="AA55" s="3"/>
    </row>
    <row r="56" spans="1:27" ht="15">
      <c r="A56" s="18" t="s">
        <v>13</v>
      </c>
      <c r="H56" s="3"/>
      <c r="K56" s="15">
        <v>13000</v>
      </c>
      <c r="L56" s="3"/>
      <c r="AA56" s="3"/>
    </row>
    <row r="57" spans="1:27" ht="15">
      <c r="A57" s="18"/>
      <c r="K57" s="14"/>
      <c r="AA57" s="3"/>
    </row>
    <row r="58" spans="1:27" ht="15">
      <c r="A58" s="18" t="s">
        <v>69</v>
      </c>
      <c r="K58" s="16">
        <v>0.45</v>
      </c>
      <c r="AA58" s="3"/>
    </row>
    <row r="59" spans="1:27" ht="15">
      <c r="A59" s="18" t="s">
        <v>70</v>
      </c>
      <c r="K59" s="16">
        <v>0.4</v>
      </c>
      <c r="AA59" s="3"/>
    </row>
    <row r="60" spans="1:27" ht="15">
      <c r="A60" s="18" t="s">
        <v>71</v>
      </c>
      <c r="K60" s="16">
        <v>0.65</v>
      </c>
      <c r="AA60" s="3"/>
    </row>
    <row r="61" spans="1:27" ht="15">
      <c r="A61" s="18"/>
      <c r="K61" s="14"/>
      <c r="AA61" s="3"/>
    </row>
    <row r="62" spans="1:27" ht="15">
      <c r="A62" s="18" t="s">
        <v>72</v>
      </c>
      <c r="K62" s="16">
        <v>0.4</v>
      </c>
      <c r="AA62" s="3"/>
    </row>
    <row r="63" spans="1:27" ht="15">
      <c r="A63" s="18" t="s">
        <v>73</v>
      </c>
      <c r="K63" s="16">
        <v>0.4</v>
      </c>
      <c r="AA63" s="3"/>
    </row>
    <row r="64" spans="1:27" ht="15">
      <c r="A64" s="18" t="s">
        <v>74</v>
      </c>
      <c r="K64" s="16">
        <f>1-K62-K63</f>
        <v>0.19999999999999996</v>
      </c>
      <c r="AA64" s="3"/>
    </row>
    <row r="65" spans="1:27" ht="15">
      <c r="A65" s="18"/>
      <c r="K65" s="14"/>
      <c r="AA65" s="3"/>
    </row>
    <row r="66" spans="1:27" ht="15">
      <c r="A66" s="18" t="s">
        <v>75</v>
      </c>
      <c r="K66" s="16">
        <v>0.05</v>
      </c>
      <c r="AA66" s="3"/>
    </row>
    <row r="67" spans="1:27" ht="15">
      <c r="A67" s="18" t="s">
        <v>76</v>
      </c>
      <c r="K67" s="16">
        <v>0.9</v>
      </c>
      <c r="AA67" s="3"/>
    </row>
    <row r="68" spans="1:27" ht="15">
      <c r="A68" s="18" t="s">
        <v>77</v>
      </c>
      <c r="K68" s="16">
        <f>1-K66-K67</f>
        <v>0.04999999999999993</v>
      </c>
      <c r="AA68" s="3"/>
    </row>
    <row r="69" spans="1:27" ht="15">
      <c r="A69" s="18"/>
      <c r="K69" s="14"/>
      <c r="AA69" s="3"/>
    </row>
    <row r="70" spans="1:27" ht="15">
      <c r="A70" s="18" t="s">
        <v>78</v>
      </c>
      <c r="K70" s="16">
        <v>0.25</v>
      </c>
      <c r="AA70" s="3"/>
    </row>
    <row r="71" spans="1:27" ht="15">
      <c r="A71" s="18" t="s">
        <v>79</v>
      </c>
      <c r="K71" s="16">
        <v>0.5</v>
      </c>
      <c r="AA71" s="3"/>
    </row>
    <row r="72" spans="1:27" ht="15">
      <c r="A72" s="18" t="s">
        <v>80</v>
      </c>
      <c r="K72" s="16">
        <f>1-K70-K71</f>
        <v>0.25</v>
      </c>
      <c r="AA72" s="3"/>
    </row>
    <row r="73" spans="1:27" ht="15">
      <c r="A73" s="18"/>
      <c r="K73" s="14"/>
      <c r="AA73" s="3"/>
    </row>
    <row r="74" spans="1:27" ht="15">
      <c r="A74" s="18" t="s">
        <v>81</v>
      </c>
      <c r="K74" s="17">
        <v>300</v>
      </c>
      <c r="AA74" s="3"/>
    </row>
    <row r="75" spans="1:27" ht="15">
      <c r="A75" s="18" t="s">
        <v>82</v>
      </c>
      <c r="K75" s="17">
        <v>250</v>
      </c>
      <c r="AA75" s="3"/>
    </row>
    <row r="76" spans="1:27" ht="15">
      <c r="A76" s="18" t="s">
        <v>83</v>
      </c>
      <c r="K76" s="17">
        <v>300</v>
      </c>
      <c r="AA76" s="3"/>
    </row>
    <row r="77" spans="1:27" ht="15">
      <c r="A77" s="18" t="s">
        <v>84</v>
      </c>
      <c r="K77" s="17">
        <v>250</v>
      </c>
      <c r="AA77" s="3"/>
    </row>
    <row r="78" spans="1:27" ht="15">
      <c r="A78" s="18"/>
      <c r="K78" s="14"/>
      <c r="AA78" s="3"/>
    </row>
    <row r="79" spans="1:27" ht="15">
      <c r="A79" s="18" t="s">
        <v>85</v>
      </c>
      <c r="K79" s="17">
        <v>250</v>
      </c>
      <c r="AA79" s="3"/>
    </row>
    <row r="80" spans="1:27" ht="15">
      <c r="A80" s="18" t="s">
        <v>86</v>
      </c>
      <c r="K80" s="17">
        <v>300</v>
      </c>
      <c r="AA80" s="3"/>
    </row>
    <row r="81" spans="1:27" ht="15">
      <c r="A81" s="18" t="s">
        <v>87</v>
      </c>
      <c r="K81" s="17">
        <v>250</v>
      </c>
      <c r="AA81" s="3"/>
    </row>
    <row r="82" spans="1:27" ht="15">
      <c r="A82" s="18" t="s">
        <v>88</v>
      </c>
      <c r="K82" s="17">
        <v>300</v>
      </c>
      <c r="AA82" s="3"/>
    </row>
    <row r="83" spans="1:27" ht="15">
      <c r="A83" s="18"/>
      <c r="K83" s="14"/>
      <c r="AA83" s="3"/>
    </row>
    <row r="84" spans="1:27" ht="15">
      <c r="A84" s="18" t="s">
        <v>89</v>
      </c>
      <c r="K84" s="17">
        <v>300</v>
      </c>
      <c r="AA84" s="3"/>
    </row>
    <row r="85" spans="1:27" ht="15">
      <c r="A85" s="18" t="s">
        <v>90</v>
      </c>
      <c r="K85" s="17">
        <v>350</v>
      </c>
      <c r="AA85" s="3"/>
    </row>
    <row r="86" spans="1:27" ht="15">
      <c r="A86" s="18" t="s">
        <v>91</v>
      </c>
      <c r="K86" s="17">
        <v>300</v>
      </c>
      <c r="AA86" s="3"/>
    </row>
    <row r="87" spans="1:27" ht="15">
      <c r="A87" s="18" t="s">
        <v>92</v>
      </c>
      <c r="K87" s="17">
        <v>350</v>
      </c>
      <c r="AA87" s="3"/>
    </row>
    <row r="88" spans="11:27" ht="15">
      <c r="K88" s="14"/>
      <c r="AA88" s="3"/>
    </row>
    <row r="89" spans="1:27" ht="15">
      <c r="A89" s="1" t="s">
        <v>14</v>
      </c>
      <c r="K89" s="14"/>
      <c r="AA89" s="3"/>
    </row>
    <row r="90" spans="11:27" ht="15">
      <c r="K90" s="14"/>
      <c r="AA90" s="3"/>
    </row>
    <row r="91" spans="1:27" ht="15">
      <c r="A91" s="18" t="s">
        <v>16</v>
      </c>
      <c r="K91" s="15">
        <v>18000</v>
      </c>
      <c r="AA91" s="3"/>
    </row>
    <row r="92" spans="1:27" ht="15">
      <c r="A92" s="18" t="s">
        <v>17</v>
      </c>
      <c r="K92" s="15">
        <v>38000</v>
      </c>
      <c r="AA92" s="3"/>
    </row>
    <row r="93" spans="1:27" ht="15">
      <c r="A93" s="18" t="s">
        <v>18</v>
      </c>
      <c r="K93" s="15">
        <v>4000</v>
      </c>
      <c r="AA93" s="3"/>
    </row>
    <row r="94" spans="1:27" ht="15">
      <c r="A94" s="18"/>
      <c r="K94" s="14"/>
      <c r="AA94" s="3"/>
    </row>
    <row r="95" spans="1:27" ht="15">
      <c r="A95" s="18" t="s">
        <v>19</v>
      </c>
      <c r="K95" s="15">
        <f>K91</f>
        <v>18000</v>
      </c>
      <c r="AA95" s="3"/>
    </row>
    <row r="96" spans="1:27" ht="15">
      <c r="A96" s="18" t="s">
        <v>20</v>
      </c>
      <c r="K96" s="15">
        <f>K92</f>
        <v>38000</v>
      </c>
      <c r="AA96" s="3"/>
    </row>
    <row r="97" spans="1:27" ht="15">
      <c r="A97" s="18" t="s">
        <v>21</v>
      </c>
      <c r="K97" s="15">
        <f>K93</f>
        <v>4000</v>
      </c>
      <c r="AA97" s="3"/>
    </row>
    <row r="98" spans="1:27" ht="15">
      <c r="A98" s="18"/>
      <c r="K98" s="14"/>
      <c r="AA98" s="3"/>
    </row>
    <row r="99" spans="1:27" ht="15">
      <c r="A99" s="18" t="s">
        <v>22</v>
      </c>
      <c r="K99" s="15">
        <f>K95</f>
        <v>18000</v>
      </c>
      <c r="AA99" s="3"/>
    </row>
    <row r="100" spans="1:27" ht="15">
      <c r="A100" s="18" t="s">
        <v>23</v>
      </c>
      <c r="K100" s="15">
        <f>K96</f>
        <v>38000</v>
      </c>
      <c r="AA100" s="3"/>
    </row>
    <row r="101" spans="1:27" ht="15">
      <c r="A101" s="18" t="s">
        <v>24</v>
      </c>
      <c r="K101" s="15">
        <f>K97</f>
        <v>4000</v>
      </c>
      <c r="AA101" s="3"/>
    </row>
    <row r="102" spans="1:27" ht="15">
      <c r="A102" s="18"/>
      <c r="K102" s="14"/>
      <c r="AA102" s="3"/>
    </row>
    <row r="103" spans="1:27" ht="15">
      <c r="A103" s="18" t="s">
        <v>25</v>
      </c>
      <c r="K103" s="15">
        <f>K99</f>
        <v>18000</v>
      </c>
      <c r="AA103" s="3"/>
    </row>
    <row r="104" spans="1:27" ht="15">
      <c r="A104" s="18" t="s">
        <v>26</v>
      </c>
      <c r="K104" s="15">
        <f>K100</f>
        <v>38000</v>
      </c>
      <c r="AA104" s="3"/>
    </row>
    <row r="105" spans="1:27" ht="15">
      <c r="A105" s="18" t="s">
        <v>27</v>
      </c>
      <c r="K105" s="15">
        <f>K101</f>
        <v>4000</v>
      </c>
      <c r="AA105" s="3"/>
    </row>
    <row r="106" spans="1:27" ht="15">
      <c r="A106" s="18"/>
      <c r="K106" s="14"/>
      <c r="AA106" s="3"/>
    </row>
    <row r="107" spans="1:27" ht="15">
      <c r="A107" s="18" t="s">
        <v>28</v>
      </c>
      <c r="K107" s="15">
        <f>K103</f>
        <v>18000</v>
      </c>
      <c r="AA107" s="3"/>
    </row>
    <row r="108" spans="1:27" ht="15">
      <c r="A108" s="18" t="s">
        <v>29</v>
      </c>
      <c r="K108" s="15">
        <f>K104</f>
        <v>38000</v>
      </c>
      <c r="AA108" s="3"/>
    </row>
    <row r="109" spans="1:27" ht="15">
      <c r="A109" s="18" t="s">
        <v>30</v>
      </c>
      <c r="K109" s="15">
        <f>K105</f>
        <v>4000</v>
      </c>
      <c r="AA109" s="3"/>
    </row>
    <row r="110" spans="1:27" ht="15">
      <c r="A110" s="18"/>
      <c r="K110" s="14"/>
      <c r="AA110" s="3"/>
    </row>
    <row r="111" spans="1:27" ht="15">
      <c r="A111" s="18" t="s">
        <v>31</v>
      </c>
      <c r="K111" s="17">
        <v>160</v>
      </c>
      <c r="AA111" s="3"/>
    </row>
    <row r="112" spans="1:27" ht="15">
      <c r="A112" s="18" t="s">
        <v>32</v>
      </c>
      <c r="K112" s="17">
        <v>160</v>
      </c>
      <c r="AA112" s="3"/>
    </row>
    <row r="113" spans="1:11" ht="15">
      <c r="A113" s="18" t="s">
        <v>33</v>
      </c>
      <c r="K113" s="17">
        <v>160</v>
      </c>
    </row>
    <row r="114" spans="1:11" ht="15">
      <c r="A114" s="18" t="s">
        <v>34</v>
      </c>
      <c r="K114" s="17">
        <v>160</v>
      </c>
    </row>
    <row r="116" spans="1:11" ht="15">
      <c r="A116" s="18" t="s">
        <v>63</v>
      </c>
      <c r="K116" s="17">
        <v>10</v>
      </c>
    </row>
    <row r="117" spans="1:11" ht="15">
      <c r="A117" s="18" t="s">
        <v>64</v>
      </c>
      <c r="K117" s="17">
        <v>25</v>
      </c>
    </row>
    <row r="118" spans="1:11" ht="15">
      <c r="A118" s="18" t="s">
        <v>65</v>
      </c>
      <c r="K118" s="16">
        <v>0.35</v>
      </c>
    </row>
    <row r="120" spans="1:11" ht="15">
      <c r="A120" s="18" t="s">
        <v>66</v>
      </c>
      <c r="K120" s="17">
        <v>5</v>
      </c>
    </row>
    <row r="121" spans="1:11" ht="15">
      <c r="A121" s="18" t="s">
        <v>67</v>
      </c>
      <c r="K121" s="17">
        <v>8</v>
      </c>
    </row>
    <row r="122" spans="1:11" ht="15">
      <c r="A122" s="18" t="s">
        <v>68</v>
      </c>
      <c r="K122" s="16">
        <v>0.35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MineThatData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Hillstrom</dc:creator>
  <cp:keywords/>
  <dc:description/>
  <cp:lastModifiedBy>Kevin Hillstrom</cp:lastModifiedBy>
  <dcterms:created xsi:type="dcterms:W3CDTF">2007-09-24T01:00:40Z</dcterms:created>
  <dcterms:modified xsi:type="dcterms:W3CDTF">2008-11-03T00:30:25Z</dcterms:modified>
  <cp:category/>
  <cp:version/>
  <cp:contentType/>
  <cp:contentStatus/>
</cp:coreProperties>
</file>